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istillery\equipment\"/>
    </mc:Choice>
  </mc:AlternateContent>
  <bookViews>
    <workbookView xWindow="0" yWindow="0" windowWidth="10290" windowHeight="11535" activeTab="1"/>
  </bookViews>
  <sheets>
    <sheet name="reflux still" sheetId="1" r:id="rId1"/>
    <sheet name="continuous still" sheetId="2" r:id="rId2"/>
    <sheet name="Sheet1" sheetId="3" r:id="rId3"/>
  </sheets>
  <definedNames>
    <definedName name="_xlnm.Print_Area" localSheetId="0">'reflux still'!$A$1:$F$34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4" i="2"/>
  <c r="B23" i="2" l="1"/>
  <c r="B50" i="2" s="1"/>
  <c r="B15" i="2"/>
  <c r="B32" i="2" s="1"/>
  <c r="B7" i="2"/>
  <c r="E9" i="2"/>
  <c r="E8" i="2"/>
  <c r="E7" i="2"/>
  <c r="E32" i="2"/>
  <c r="B43" i="2" l="1"/>
  <c r="E43" i="2" s="1"/>
  <c r="B41" i="2"/>
  <c r="B35" i="2"/>
  <c r="B36" i="2" s="1"/>
  <c r="B33" i="2"/>
  <c r="B34" i="2" s="1"/>
  <c r="B59" i="2"/>
  <c r="B58" i="2"/>
  <c r="E58" i="2" s="1"/>
  <c r="E57" i="2"/>
  <c r="B51" i="2"/>
  <c r="J28" i="2"/>
  <c r="J27" i="2"/>
  <c r="J26" i="2"/>
  <c r="J25" i="2"/>
  <c r="J24" i="2"/>
  <c r="J23" i="2"/>
  <c r="J22" i="2"/>
  <c r="J21" i="2"/>
  <c r="B24" i="2"/>
  <c r="J20" i="2"/>
  <c r="J19" i="2"/>
  <c r="B21" i="2"/>
  <c r="E21" i="2" s="1"/>
  <c r="F21" i="2" s="1"/>
  <c r="J18" i="2"/>
  <c r="J17" i="2"/>
  <c r="J16" i="2"/>
  <c r="J15" i="2"/>
  <c r="B17" i="2"/>
  <c r="J14" i="2"/>
  <c r="B16" i="2"/>
  <c r="J13" i="2"/>
  <c r="J12" i="2"/>
  <c r="E13" i="2"/>
  <c r="F13" i="2" s="1"/>
  <c r="J11" i="2"/>
  <c r="J10" i="2"/>
  <c r="J9" i="2"/>
  <c r="J8" i="2"/>
  <c r="B8" i="2"/>
  <c r="E5" i="2"/>
  <c r="F5" i="2" s="1"/>
  <c r="D20" i="1"/>
  <c r="D19" i="1"/>
  <c r="B14" i="1"/>
  <c r="B5" i="1"/>
  <c r="D22" i="1" l="1"/>
  <c r="D23" i="1"/>
  <c r="B52" i="2"/>
  <c r="E35" i="2"/>
  <c r="B38" i="2"/>
  <c r="E38" i="2" s="1"/>
  <c r="H38" i="2" s="1"/>
  <c r="B37" i="2"/>
  <c r="E37" i="2" s="1"/>
  <c r="B42" i="2"/>
  <c r="E42" i="2" s="1"/>
  <c r="E34" i="2"/>
  <c r="E41" i="2"/>
  <c r="E36" i="2"/>
  <c r="B53" i="2"/>
  <c r="D25" i="1" l="1"/>
  <c r="D32" i="1" s="1"/>
  <c r="D33" i="1" s="1"/>
  <c r="B39" i="2"/>
  <c r="B40" i="2" s="1"/>
  <c r="E53" i="2"/>
  <c r="B54" i="2"/>
  <c r="E39" i="2" l="1"/>
  <c r="H39" i="2" s="1"/>
  <c r="E54" i="2"/>
  <c r="B55" i="2"/>
  <c r="E40" i="2"/>
  <c r="B44" i="2"/>
  <c r="B45" i="2"/>
  <c r="E55" i="2" l="1"/>
  <c r="B56" i="2"/>
  <c r="E56" i="2" l="1"/>
  <c r="B60" i="2"/>
  <c r="B61" i="2"/>
</calcChain>
</file>

<file path=xl/sharedStrings.xml><?xml version="1.0" encoding="utf-8"?>
<sst xmlns="http://schemas.openxmlformats.org/spreadsheetml/2006/main" count="167" uniqueCount="88">
  <si>
    <t>Specific evaporation enthalpy for water at standard atmosphere is:</t>
  </si>
  <si>
    <t>    = 2257 (kJ/kg)</t>
  </si>
  <si>
    <t>Specific evaporation enthalpy for Ethanol at standard atmosphere is:</t>
  </si>
  <si>
    <t>    = 841 (kJ/kg)</t>
  </si>
  <si>
    <t>Specific evaporation enthalpy for mix of:</t>
  </si>
  <si>
    <t>% ABV</t>
  </si>
  <si>
    <t xml:space="preserve"> (kJ/kg)</t>
  </si>
  <si>
    <t>vapor to liquid:   flowrate*evaporation enthalpy</t>
  </si>
  <si>
    <t>liquid cooling:    flowrate*heat_capacity*(Tout - Tin)</t>
  </si>
  <si>
    <t>specific heat of water = 4.184 (kJ/kg.oC)</t>
  </si>
  <si>
    <t>specific heat of ethanol = 2.845 (kJ/kg.oC)</t>
  </si>
  <si>
    <t>kJ/min</t>
  </si>
  <si>
    <t>specific heat mix of</t>
  </si>
  <si>
    <t>how many L/hr of distallate</t>
  </si>
  <si>
    <t xml:space="preserve"> kJ/min</t>
  </si>
  <si>
    <t>Total energy needed</t>
  </si>
  <si>
    <t>water needed: Energy / heat_capacity*(Tout - Tin)</t>
  </si>
  <si>
    <t>Cooling water in temp</t>
  </si>
  <si>
    <t>Coolign water out temp</t>
  </si>
  <si>
    <t>108kJ/min / 4.184kJ/jg * (60-20)</t>
  </si>
  <si>
    <t>l/min</t>
  </si>
  <si>
    <t>l/hr</t>
  </si>
  <si>
    <t>continuous still</t>
  </si>
  <si>
    <t>liters/min</t>
  </si>
  <si>
    <t>charge strength</t>
  </si>
  <si>
    <t>(Degrees Celcius)</t>
  </si>
  <si>
    <t>charge temp</t>
  </si>
  <si>
    <t>Deg. C</t>
  </si>
  <si>
    <t>output strength</t>
  </si>
  <si>
    <t>%ABV</t>
  </si>
  <si>
    <t>output rate</t>
  </si>
  <si>
    <t>Bottoms rate</t>
  </si>
  <si>
    <t>output temp</t>
  </si>
  <si>
    <t>charge feed Rate:</t>
  </si>
  <si>
    <t>Bottoms strength</t>
  </si>
  <si>
    <t>Bottoms temp</t>
  </si>
  <si>
    <t>Celsius</t>
  </si>
  <si>
    <t>Farenheit</t>
  </si>
  <si>
    <t>HX efficiency</t>
  </si>
  <si>
    <t>%</t>
  </si>
  <si>
    <t>Temp delta</t>
  </si>
  <si>
    <t>desired pre-heat temp</t>
  </si>
  <si>
    <t>bottoms rate out</t>
  </si>
  <si>
    <t>specific heat</t>
  </si>
  <si>
    <t xml:space="preserve"> kJ/kg.oC</t>
  </si>
  <si>
    <t>Evaporation enthalpy for ethanol = 841 (kJ/kg)</t>
  </si>
  <si>
    <t>enthalpy</t>
  </si>
  <si>
    <t>energy out</t>
  </si>
  <si>
    <t>kg/min</t>
  </si>
  <si>
    <t>Bottoms heat exchanger</t>
  </si>
  <si>
    <t>Densities of Mixtures of Ethanol and Water at 20°C</t>
  </si>
  <si>
    <t>Concentration (% Ethanol by Weight)</t>
  </si>
  <si>
    <t>Density (Kg/L)</t>
  </si>
  <si>
    <t>Product Condenser</t>
  </si>
  <si>
    <t>product rate out</t>
  </si>
  <si>
    <t>energy recovered</t>
  </si>
  <si>
    <t>liters/hr</t>
  </si>
  <si>
    <t>kg/hr</t>
  </si>
  <si>
    <t>kJ/hr</t>
  </si>
  <si>
    <t>bottoms temp into HX</t>
  </si>
  <si>
    <t>bottoms temp out of HX</t>
  </si>
  <si>
    <t>beer feed temp</t>
  </si>
  <si>
    <t>beer temp out of HX</t>
  </si>
  <si>
    <t>Vapor temp into HX</t>
  </si>
  <si>
    <t>Product temp out of HX</t>
  </si>
  <si>
    <t>ethanol</t>
  </si>
  <si>
    <t>h20</t>
  </si>
  <si>
    <t>bp C</t>
  </si>
  <si>
    <t>bottoms rate out(weight)</t>
  </si>
  <si>
    <t>density of water</t>
  </si>
  <si>
    <t>density of alcohol</t>
  </si>
  <si>
    <t>Evaporation enthalpy for water = 2257 (kJ/kg)</t>
  </si>
  <si>
    <t>Specific heat out</t>
  </si>
  <si>
    <t>Enthalpy out</t>
  </si>
  <si>
    <t>bottoms strength</t>
  </si>
  <si>
    <t>TOTAL Energy out</t>
  </si>
  <si>
    <t>beer feed rate in</t>
  </si>
  <si>
    <t>beer feed rate in(weight)</t>
  </si>
  <si>
    <t>beer feed rate in (weight)</t>
  </si>
  <si>
    <t xml:space="preserve">KJ/min = </t>
  </si>
  <si>
    <t>temp steam</t>
  </si>
  <si>
    <t>temp out</t>
  </si>
  <si>
    <t>so to cool 1kg of above ABV from steam  to cool liquid</t>
  </si>
  <si>
    <t>% turned to steam</t>
  </si>
  <si>
    <t>boiling point</t>
  </si>
  <si>
    <t>gal/hr</t>
  </si>
  <si>
    <t>boiler HP to warm to boiling</t>
  </si>
  <si>
    <t>Boiler HP to vaporize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</si>
</sst>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2" borderId="0" xfId="0" applyNumberFormat="1" applyFill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2" borderId="0" xfId="0" applyNumberFormat="1" applyFill="1" applyBorder="1"/>
    <xf numFmtId="0" fontId="0" fillId="2" borderId="0" xfId="0" applyFill="1" applyBorder="1"/>
    <xf numFmtId="0" fontId="0" fillId="0" borderId="7" xfId="0" applyBorder="1"/>
    <xf numFmtId="0" fontId="0" fillId="0" borderId="9" xfId="0" applyBorder="1"/>
    <xf numFmtId="2" fontId="0" fillId="0" borderId="0" xfId="0" applyNumberFormat="1"/>
    <xf numFmtId="2" fontId="0" fillId="0" borderId="0" xfId="0" applyNumberFormat="1" applyBorder="1"/>
    <xf numFmtId="0" fontId="0" fillId="0" borderId="0" xfId="0" applyAlignment="1">
      <alignment horizontal="right"/>
    </xf>
    <xf numFmtId="2" fontId="0" fillId="2" borderId="8" xfId="0" applyNumberFormat="1" applyFill="1" applyBorder="1"/>
    <xf numFmtId="1" fontId="0" fillId="0" borderId="0" xfId="0" applyNumberFormat="1"/>
    <xf numFmtId="164" fontId="0" fillId="2" borderId="0" xfId="0" applyNumberFormat="1" applyFill="1"/>
    <xf numFmtId="164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workbookViewId="0">
      <selection activeCell="C15" sqref="C15"/>
    </sheetView>
  </sheetViews>
  <sheetFormatPr defaultRowHeight="15" x14ac:dyDescent="0.25"/>
  <cols>
    <col min="1" max="1" width="45.28515625" customWidth="1"/>
    <col min="3" max="3" width="28.28515625" customWidth="1"/>
    <col min="4" max="4" width="10.28515625" customWidth="1"/>
  </cols>
  <sheetData>
    <row r="2" spans="1:4" x14ac:dyDescent="0.25">
      <c r="A2" t="s">
        <v>9</v>
      </c>
      <c r="B2">
        <v>4.1840000000000002</v>
      </c>
      <c r="C2" s="16" t="s">
        <v>69</v>
      </c>
      <c r="D2" s="16">
        <v>1</v>
      </c>
    </row>
    <row r="3" spans="1:4" ht="15.75" thickBot="1" x14ac:dyDescent="0.3">
      <c r="A3" t="s">
        <v>10</v>
      </c>
      <c r="B3">
        <v>2.8450000000000002</v>
      </c>
      <c r="C3" s="16" t="s">
        <v>70</v>
      </c>
      <c r="D3" s="16">
        <v>0.79074</v>
      </c>
    </row>
    <row r="4" spans="1:4" ht="15.75" thickBot="1" x14ac:dyDescent="0.3">
      <c r="A4" t="s">
        <v>12</v>
      </c>
      <c r="B4" s="1">
        <v>45</v>
      </c>
      <c r="C4" t="s">
        <v>5</v>
      </c>
    </row>
    <row r="5" spans="1:4" x14ac:dyDescent="0.25">
      <c r="B5" s="4">
        <f>B4/100*B3+(1-B4/100)*B2</f>
        <v>3.5814500000000002</v>
      </c>
    </row>
    <row r="7" spans="1:4" x14ac:dyDescent="0.25">
      <c r="A7" t="s">
        <v>0</v>
      </c>
    </row>
    <row r="8" spans="1:4" x14ac:dyDescent="0.25">
      <c r="A8" t="s">
        <v>1</v>
      </c>
      <c r="B8">
        <v>2257</v>
      </c>
    </row>
    <row r="10" spans="1:4" x14ac:dyDescent="0.25">
      <c r="A10" t="s">
        <v>2</v>
      </c>
    </row>
    <row r="11" spans="1:4" x14ac:dyDescent="0.25">
      <c r="A11" t="s">
        <v>3</v>
      </c>
      <c r="B11">
        <v>841</v>
      </c>
    </row>
    <row r="12" spans="1:4" ht="15.75" thickBot="1" x14ac:dyDescent="0.3"/>
    <row r="13" spans="1:4" ht="15.75" thickBot="1" x14ac:dyDescent="0.3">
      <c r="A13" t="s">
        <v>4</v>
      </c>
      <c r="B13" s="1">
        <v>45</v>
      </c>
      <c r="C13" t="s">
        <v>5</v>
      </c>
    </row>
    <row r="14" spans="1:4" x14ac:dyDescent="0.25">
      <c r="B14" s="4">
        <f>B13/100*B11+(1-B13/100)*B8</f>
        <v>1619.8000000000002</v>
      </c>
      <c r="C14" t="s">
        <v>6</v>
      </c>
    </row>
    <row r="16" spans="1:4" ht="15.75" thickBot="1" x14ac:dyDescent="0.3"/>
    <row r="17" spans="1:5" ht="15.75" thickBot="1" x14ac:dyDescent="0.3">
      <c r="A17" s="16" t="s">
        <v>80</v>
      </c>
      <c r="B17" s="1">
        <v>93</v>
      </c>
    </row>
    <row r="18" spans="1:5" ht="15.75" thickBot="1" x14ac:dyDescent="0.3">
      <c r="A18" s="16" t="s">
        <v>81</v>
      </c>
      <c r="B18" s="1">
        <v>25</v>
      </c>
      <c r="C18" t="s">
        <v>13</v>
      </c>
      <c r="D18" s="1">
        <v>24</v>
      </c>
    </row>
    <row r="19" spans="1:5" x14ac:dyDescent="0.25">
      <c r="A19" t="s">
        <v>82</v>
      </c>
      <c r="C19" t="s">
        <v>20</v>
      </c>
      <c r="D19">
        <f>D18/60</f>
        <v>0.4</v>
      </c>
    </row>
    <row r="20" spans="1:5" x14ac:dyDescent="0.25">
      <c r="C20" t="s">
        <v>48</v>
      </c>
      <c r="D20">
        <f>D19*((B4/100*D3)+(1-B4/100)*D2)</f>
        <v>0.36233320000000008</v>
      </c>
    </row>
    <row r="22" spans="1:5" x14ac:dyDescent="0.25">
      <c r="A22" t="s">
        <v>7</v>
      </c>
      <c r="C22" t="s">
        <v>79</v>
      </c>
      <c r="D22">
        <f>D20*B14</f>
        <v>586.90731736000021</v>
      </c>
      <c r="E22" t="s">
        <v>11</v>
      </c>
    </row>
    <row r="23" spans="1:5" x14ac:dyDescent="0.25">
      <c r="A23" t="s">
        <v>8</v>
      </c>
      <c r="C23" t="s">
        <v>79</v>
      </c>
      <c r="D23">
        <f>D20*B5*(B17-B18)</f>
        <v>88.242120261520029</v>
      </c>
      <c r="E23" t="s">
        <v>11</v>
      </c>
    </row>
    <row r="25" spans="1:5" x14ac:dyDescent="0.25">
      <c r="C25" t="s">
        <v>15</v>
      </c>
      <c r="D25">
        <f>D22+D23</f>
        <v>675.14943762152029</v>
      </c>
      <c r="E25" t="s">
        <v>14</v>
      </c>
    </row>
    <row r="27" spans="1:5" ht="15.75" thickBot="1" x14ac:dyDescent="0.3"/>
    <row r="28" spans="1:5" ht="15.75" thickBot="1" x14ac:dyDescent="0.3">
      <c r="A28" t="s">
        <v>17</v>
      </c>
      <c r="B28" s="1">
        <v>20</v>
      </c>
      <c r="C28" t="s">
        <v>25</v>
      </c>
    </row>
    <row r="29" spans="1:5" ht="15.75" thickBot="1" x14ac:dyDescent="0.3">
      <c r="A29" t="s">
        <v>18</v>
      </c>
      <c r="B29" s="1">
        <v>60</v>
      </c>
      <c r="C29" t="s">
        <v>25</v>
      </c>
    </row>
    <row r="32" spans="1:5" x14ac:dyDescent="0.25">
      <c r="A32" t="s">
        <v>16</v>
      </c>
      <c r="C32" t="s">
        <v>19</v>
      </c>
      <c r="D32">
        <f>D25/(B2*(B29-B28))</f>
        <v>4.0341147085415887</v>
      </c>
      <c r="E32" t="s">
        <v>20</v>
      </c>
    </row>
    <row r="33" spans="4:5" x14ac:dyDescent="0.25">
      <c r="D33">
        <f>D32*60</f>
        <v>242.04688251249533</v>
      </c>
      <c r="E33" t="s">
        <v>21</v>
      </c>
    </row>
  </sheetData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zoomScale="115" zoomScaleNormal="115" workbookViewId="0">
      <selection activeCell="H19" sqref="H19"/>
    </sheetView>
  </sheetViews>
  <sheetFormatPr defaultRowHeight="15" x14ac:dyDescent="0.25"/>
  <cols>
    <col min="1" max="1" width="25.140625" customWidth="1"/>
    <col min="3" max="3" width="11.42578125" customWidth="1"/>
    <col min="5" max="5" width="11.42578125" style="14" customWidth="1"/>
    <col min="6" max="6" width="23" customWidth="1"/>
    <col min="7" max="7" width="3" customWidth="1"/>
    <col min="8" max="8" width="47.5703125" customWidth="1"/>
    <col min="9" max="9" width="8.140625" customWidth="1"/>
  </cols>
  <sheetData>
    <row r="1" spans="1:13" x14ac:dyDescent="0.25">
      <c r="A1" t="s">
        <v>22</v>
      </c>
    </row>
    <row r="3" spans="1:13" x14ac:dyDescent="0.25">
      <c r="L3" t="s">
        <v>50</v>
      </c>
    </row>
    <row r="4" spans="1:13" ht="15.75" thickBot="1" x14ac:dyDescent="0.3">
      <c r="L4" t="s">
        <v>51</v>
      </c>
    </row>
    <row r="5" spans="1:13" ht="15.75" thickBot="1" x14ac:dyDescent="0.3">
      <c r="A5" t="s">
        <v>33</v>
      </c>
      <c r="B5" s="2">
        <v>20</v>
      </c>
      <c r="C5" t="s">
        <v>23</v>
      </c>
      <c r="E5" s="14">
        <f>B5*60</f>
        <v>1200</v>
      </c>
      <c r="F5">
        <f>E5/3.78541</f>
        <v>317.00661222958672</v>
      </c>
      <c r="G5" t="s">
        <v>85</v>
      </c>
      <c r="M5">
        <v>0</v>
      </c>
    </row>
    <row r="6" spans="1:13" ht="15.75" thickBot="1" x14ac:dyDescent="0.3">
      <c r="A6" t="s">
        <v>24</v>
      </c>
      <c r="B6" s="2">
        <v>7</v>
      </c>
      <c r="C6" t="s">
        <v>29</v>
      </c>
      <c r="M6" t="s">
        <v>52</v>
      </c>
    </row>
    <row r="7" spans="1:13" x14ac:dyDescent="0.25">
      <c r="A7" t="s">
        <v>84</v>
      </c>
      <c r="B7" s="19">
        <f>LOOKUP(ROUNDDOWN(B6,-1),I46:I56,K46:K56)-(LOOKUP(ROUNDDOWN(B6,-1),I46:I56,K46:K56)-LOOKUP(ROUNDUP(B6,-1),I46:I56,K46:K56))*((B6-ROUNDDOWN(B6,-1))/(ROUNDUP(B6,-1)-ROUNDDOWN(B6,-1)))</f>
        <v>99.3</v>
      </c>
      <c r="C7" t="s">
        <v>27</v>
      </c>
      <c r="E7">
        <f>LOOKUP(ROUNDUP(B6,-1),I46:I56,K46:K56)</f>
        <v>99</v>
      </c>
      <c r="I7" t="s">
        <v>36</v>
      </c>
      <c r="J7" t="s">
        <v>37</v>
      </c>
      <c r="L7">
        <v>0</v>
      </c>
      <c r="M7">
        <v>0.99822999999999995</v>
      </c>
    </row>
    <row r="8" spans="1:13" ht="15.75" thickBot="1" x14ac:dyDescent="0.3">
      <c r="A8" t="s">
        <v>43</v>
      </c>
      <c r="B8" s="4">
        <f>B6/100*$I$33+(1-B6/100)*$I$32</f>
        <v>4.0902700000000003</v>
      </c>
      <c r="C8" t="s">
        <v>44</v>
      </c>
      <c r="E8">
        <f>(LOOKUP(ROUNDDOWN(B6,-1),I46:I56,K46:K56)-LOOKUP(ROUNDUP(B6,-1),I46:I56,K46:K56))</f>
        <v>1</v>
      </c>
      <c r="F8">
        <f>ROUND((B7-B9)*B5*B8*60*0.00002831722083468,2)</f>
        <v>10.33</v>
      </c>
      <c r="H8" t="s">
        <v>86</v>
      </c>
      <c r="I8">
        <v>0</v>
      </c>
      <c r="J8">
        <f>(I8*9/5)+32</f>
        <v>32</v>
      </c>
      <c r="L8">
        <v>1</v>
      </c>
      <c r="M8">
        <v>0.99636000000000002</v>
      </c>
    </row>
    <row r="9" spans="1:13" ht="15.75" thickBot="1" x14ac:dyDescent="0.3">
      <c r="A9" t="s">
        <v>26</v>
      </c>
      <c r="B9" s="2">
        <v>25</v>
      </c>
      <c r="C9" t="s">
        <v>27</v>
      </c>
      <c r="E9">
        <f>((B6-ROUNDDOWN(B6,-1))/(ROUNDUP(B6,-1)-ROUNDDOWN(B6,-1)))</f>
        <v>0.7</v>
      </c>
      <c r="I9">
        <v>5</v>
      </c>
      <c r="J9">
        <f t="shared" ref="J9:J28" si="0">(I9*9/5)+32</f>
        <v>41</v>
      </c>
      <c r="L9">
        <v>2</v>
      </c>
      <c r="M9">
        <v>0.99453000000000003</v>
      </c>
    </row>
    <row r="10" spans="1:13" ht="15.75" thickBot="1" x14ac:dyDescent="0.3">
      <c r="A10" t="s">
        <v>41</v>
      </c>
      <c r="B10" s="2">
        <v>85</v>
      </c>
      <c r="C10" t="s">
        <v>27</v>
      </c>
      <c r="I10">
        <v>10</v>
      </c>
      <c r="J10">
        <f t="shared" si="0"/>
        <v>50</v>
      </c>
      <c r="L10">
        <v>3</v>
      </c>
      <c r="M10">
        <v>0.99275000000000002</v>
      </c>
    </row>
    <row r="11" spans="1:13" ht="15.75" thickBot="1" x14ac:dyDescent="0.3">
      <c r="A11" t="s">
        <v>74</v>
      </c>
      <c r="B11" s="2">
        <v>0</v>
      </c>
      <c r="C11" t="s">
        <v>29</v>
      </c>
      <c r="I11">
        <v>15</v>
      </c>
      <c r="J11">
        <f t="shared" si="0"/>
        <v>59</v>
      </c>
      <c r="L11">
        <v>4</v>
      </c>
      <c r="M11">
        <v>0.99102999999999997</v>
      </c>
    </row>
    <row r="12" spans="1:13" ht="15.75" thickBot="1" x14ac:dyDescent="0.3">
      <c r="I12">
        <v>20</v>
      </c>
      <c r="J12">
        <f t="shared" si="0"/>
        <v>68</v>
      </c>
      <c r="L12">
        <v>5</v>
      </c>
      <c r="M12">
        <v>0.98938000000000004</v>
      </c>
    </row>
    <row r="13" spans="1:13" ht="15.75" thickBot="1" x14ac:dyDescent="0.3">
      <c r="A13" t="s">
        <v>30</v>
      </c>
      <c r="B13" s="2">
        <v>2.5</v>
      </c>
      <c r="C13" t="s">
        <v>23</v>
      </c>
      <c r="E13" s="14">
        <f>B13*60</f>
        <v>150</v>
      </c>
      <c r="F13">
        <f>E13/3.78541</f>
        <v>39.62582652869834</v>
      </c>
      <c r="G13" t="s">
        <v>85</v>
      </c>
      <c r="I13">
        <v>25</v>
      </c>
      <c r="J13">
        <f t="shared" si="0"/>
        <v>77</v>
      </c>
      <c r="L13">
        <v>6</v>
      </c>
      <c r="M13">
        <v>0.98780000000000001</v>
      </c>
    </row>
    <row r="14" spans="1:13" ht="15.75" thickBot="1" x14ac:dyDescent="0.3">
      <c r="A14" t="s">
        <v>28</v>
      </c>
      <c r="B14" s="2">
        <v>71</v>
      </c>
      <c r="C14" t="s">
        <v>29</v>
      </c>
      <c r="F14" s="14">
        <f>ROUND(B13*B17*60*0.00002831722083468,2)</f>
        <v>5.32</v>
      </c>
      <c r="H14" t="s">
        <v>87</v>
      </c>
      <c r="I14">
        <v>30</v>
      </c>
      <c r="J14">
        <f t="shared" si="0"/>
        <v>86</v>
      </c>
      <c r="L14">
        <v>7</v>
      </c>
      <c r="M14">
        <v>0.98626999999999998</v>
      </c>
    </row>
    <row r="15" spans="1:13" x14ac:dyDescent="0.25">
      <c r="A15" t="s">
        <v>84</v>
      </c>
      <c r="B15" s="19">
        <f>LOOKUP(ROUNDDOWN(B14,-1),I46:I56,K46:K56)-(LOOKUP(ROUNDDOWN(B14,-1),I46:I56,K46:K56)-LOOKUP(ROUNDUP(B14,-1),I46:I56,K46:K56))*((B14-ROUNDDOWN(B14,-1))/(ROUNDUP(B14,-1)-ROUNDDOWN(B14,-1)))</f>
        <v>84.7</v>
      </c>
      <c r="F15" s="14"/>
      <c r="I15">
        <v>35</v>
      </c>
      <c r="J15">
        <f t="shared" si="0"/>
        <v>95</v>
      </c>
      <c r="L15">
        <v>8</v>
      </c>
      <c r="M15">
        <v>0.98477999999999999</v>
      </c>
    </row>
    <row r="16" spans="1:13" x14ac:dyDescent="0.25">
      <c r="A16" t="s">
        <v>43</v>
      </c>
      <c r="B16" s="4">
        <f>B14/100*$I$33+(1-B14/100)*$I$32</f>
        <v>3.2333100000000004</v>
      </c>
      <c r="C16" t="s">
        <v>44</v>
      </c>
      <c r="F16" s="14"/>
      <c r="I16">
        <v>40</v>
      </c>
      <c r="J16">
        <f t="shared" si="0"/>
        <v>104</v>
      </c>
      <c r="L16">
        <v>9</v>
      </c>
      <c r="M16">
        <v>0.98331000000000002</v>
      </c>
    </row>
    <row r="17" spans="1:13" ht="15.75" thickBot="1" x14ac:dyDescent="0.3">
      <c r="A17" t="s">
        <v>46</v>
      </c>
      <c r="B17" s="4">
        <f>$B$14/100*$I$35+(1-$B$14/100)*$I$34</f>
        <v>1251.6400000000001</v>
      </c>
      <c r="C17" t="s">
        <v>6</v>
      </c>
      <c r="F17" s="14"/>
      <c r="I17">
        <v>45</v>
      </c>
      <c r="J17">
        <f t="shared" si="0"/>
        <v>113</v>
      </c>
      <c r="L17">
        <v>10</v>
      </c>
      <c r="M17">
        <v>0.98187000000000002</v>
      </c>
    </row>
    <row r="18" spans="1:13" ht="15.75" thickBot="1" x14ac:dyDescent="0.3">
      <c r="A18" t="s">
        <v>32</v>
      </c>
      <c r="B18" s="2">
        <v>25</v>
      </c>
      <c r="C18" t="s">
        <v>27</v>
      </c>
      <c r="F18" s="14"/>
      <c r="I18">
        <v>50</v>
      </c>
      <c r="J18">
        <f t="shared" si="0"/>
        <v>122</v>
      </c>
      <c r="L18">
        <v>11</v>
      </c>
      <c r="M18">
        <v>0.98046999999999995</v>
      </c>
    </row>
    <row r="19" spans="1:13" x14ac:dyDescent="0.25">
      <c r="B19" s="15"/>
      <c r="F19" s="14"/>
      <c r="I19">
        <v>55</v>
      </c>
      <c r="J19">
        <f t="shared" si="0"/>
        <v>131</v>
      </c>
      <c r="L19">
        <v>12</v>
      </c>
      <c r="M19">
        <v>0.97909999999999997</v>
      </c>
    </row>
    <row r="20" spans="1:13" x14ac:dyDescent="0.25">
      <c r="I20">
        <v>60</v>
      </c>
      <c r="J20">
        <f t="shared" si="0"/>
        <v>140</v>
      </c>
      <c r="L20">
        <v>13</v>
      </c>
      <c r="M20">
        <v>0.97775000000000001</v>
      </c>
    </row>
    <row r="21" spans="1:13" ht="15.75" thickBot="1" x14ac:dyDescent="0.3">
      <c r="A21" t="s">
        <v>31</v>
      </c>
      <c r="B21" s="3">
        <f>B5-B13</f>
        <v>17.5</v>
      </c>
      <c r="C21" t="s">
        <v>23</v>
      </c>
      <c r="E21" s="14">
        <f>B21*60</f>
        <v>1050</v>
      </c>
      <c r="F21">
        <f>E21/3.78541</f>
        <v>277.3807857008884</v>
      </c>
      <c r="G21" t="s">
        <v>85</v>
      </c>
      <c r="I21">
        <v>65</v>
      </c>
      <c r="J21">
        <f t="shared" si="0"/>
        <v>149</v>
      </c>
      <c r="L21">
        <v>14</v>
      </c>
      <c r="M21">
        <v>0.97643000000000002</v>
      </c>
    </row>
    <row r="22" spans="1:13" ht="15.75" thickBot="1" x14ac:dyDescent="0.3">
      <c r="A22" t="s">
        <v>34</v>
      </c>
      <c r="B22" s="2">
        <v>0.1</v>
      </c>
      <c r="C22" t="s">
        <v>29</v>
      </c>
      <c r="I22">
        <v>70</v>
      </c>
      <c r="J22">
        <f t="shared" si="0"/>
        <v>158</v>
      </c>
      <c r="L22">
        <v>15</v>
      </c>
      <c r="M22">
        <v>0.97514000000000001</v>
      </c>
    </row>
    <row r="23" spans="1:13" x14ac:dyDescent="0.25">
      <c r="A23" t="s">
        <v>84</v>
      </c>
      <c r="B23" s="19">
        <f>LOOKUP(ROUNDDOWN(B22,-1),I46:I56,K46:K56)-(LOOKUP(ROUNDDOWN(B22,-1),I46:I56,K46:K56)-LOOKUP(ROUNDUP(B22,-1),I46:I56,K46:K56))*((B22-ROUNDDOWN(B22,-1))/(ROUNDUP(B22,-1)-ROUNDDOWN(B22,-1)))</f>
        <v>99.99</v>
      </c>
      <c r="I23">
        <v>75</v>
      </c>
      <c r="J23">
        <f t="shared" si="0"/>
        <v>167</v>
      </c>
      <c r="L23">
        <v>16</v>
      </c>
      <c r="M23">
        <v>0.97387000000000001</v>
      </c>
    </row>
    <row r="24" spans="1:13" ht="15.75" thickBot="1" x14ac:dyDescent="0.3">
      <c r="A24" t="s">
        <v>43</v>
      </c>
      <c r="B24" s="4">
        <f>B22/100*$I$33+(1-B22/100)*$I$32</f>
        <v>4.1826609999999995</v>
      </c>
      <c r="C24" t="s">
        <v>44</v>
      </c>
      <c r="I24">
        <v>80</v>
      </c>
      <c r="J24">
        <f t="shared" si="0"/>
        <v>176</v>
      </c>
      <c r="L24">
        <v>17</v>
      </c>
      <c r="M24">
        <v>0.97258999999999995</v>
      </c>
    </row>
    <row r="25" spans="1:13" ht="15.75" thickBot="1" x14ac:dyDescent="0.3">
      <c r="A25" t="s">
        <v>35</v>
      </c>
      <c r="B25" s="2">
        <v>100</v>
      </c>
      <c r="C25" t="s">
        <v>27</v>
      </c>
      <c r="I25">
        <v>85</v>
      </c>
      <c r="J25">
        <f t="shared" si="0"/>
        <v>185</v>
      </c>
      <c r="L25">
        <v>18</v>
      </c>
      <c r="M25">
        <v>0.97128999999999999</v>
      </c>
    </row>
    <row r="26" spans="1:13" ht="15.75" thickBot="1" x14ac:dyDescent="0.3">
      <c r="A26" t="s">
        <v>35</v>
      </c>
      <c r="B26" s="2">
        <v>40</v>
      </c>
      <c r="C26" t="s">
        <v>27</v>
      </c>
      <c r="H26" t="s">
        <v>9</v>
      </c>
      <c r="I26">
        <v>90</v>
      </c>
      <c r="J26">
        <f t="shared" si="0"/>
        <v>194</v>
      </c>
      <c r="L26">
        <v>19</v>
      </c>
      <c r="M26">
        <v>0.96997</v>
      </c>
    </row>
    <row r="27" spans="1:13" x14ac:dyDescent="0.25">
      <c r="H27" t="s">
        <v>10</v>
      </c>
      <c r="I27">
        <v>95</v>
      </c>
      <c r="J27">
        <f t="shared" si="0"/>
        <v>203</v>
      </c>
      <c r="L27">
        <v>20</v>
      </c>
      <c r="M27">
        <v>0.96863999999999995</v>
      </c>
    </row>
    <row r="28" spans="1:13" x14ac:dyDescent="0.25">
      <c r="H28" t="s">
        <v>71</v>
      </c>
      <c r="I28">
        <v>100</v>
      </c>
      <c r="J28">
        <f t="shared" si="0"/>
        <v>212</v>
      </c>
      <c r="L28">
        <v>21</v>
      </c>
      <c r="M28">
        <v>0.96728999999999998</v>
      </c>
    </row>
    <row r="29" spans="1:13" ht="15.75" thickBot="1" x14ac:dyDescent="0.3">
      <c r="H29" t="s">
        <v>45</v>
      </c>
      <c r="L29">
        <v>22</v>
      </c>
      <c r="M29">
        <v>0.96592</v>
      </c>
    </row>
    <row r="30" spans="1:13" ht="15.75" thickBot="1" x14ac:dyDescent="0.3">
      <c r="A30" s="5" t="s">
        <v>53</v>
      </c>
      <c r="B30" s="6"/>
      <c r="C30" s="7"/>
      <c r="L30">
        <v>23</v>
      </c>
      <c r="M30">
        <v>0.96453</v>
      </c>
    </row>
    <row r="31" spans="1:13" ht="15.75" thickBot="1" x14ac:dyDescent="0.3">
      <c r="A31" s="8" t="s">
        <v>38</v>
      </c>
      <c r="B31" s="1">
        <v>50</v>
      </c>
      <c r="C31" s="9" t="s">
        <v>39</v>
      </c>
      <c r="L31">
        <v>24</v>
      </c>
      <c r="M31">
        <v>0.96311999999999998</v>
      </c>
    </row>
    <row r="32" spans="1:13" x14ac:dyDescent="0.25">
      <c r="A32" s="8" t="s">
        <v>63</v>
      </c>
      <c r="B32" s="20">
        <f>B15</f>
        <v>84.7</v>
      </c>
      <c r="C32" s="9" t="s">
        <v>27</v>
      </c>
      <c r="E32" s="14">
        <f ca="1">LOOKUP((ROUNDDOWN(B14,-1)),I46:I56,INDIRECT("I"&amp;(ROUNDUP(B14,-1))&amp;":K"&amp;(ROUNDUP(B14,-1))))</f>
        <v>0</v>
      </c>
      <c r="I32">
        <v>4.1840000000000002</v>
      </c>
      <c r="L32">
        <v>25</v>
      </c>
      <c r="M32">
        <v>0.96167999999999998</v>
      </c>
    </row>
    <row r="33" spans="1:13" x14ac:dyDescent="0.25">
      <c r="A33" s="8" t="s">
        <v>64</v>
      </c>
      <c r="B33" s="20">
        <f>B18</f>
        <v>25</v>
      </c>
      <c r="C33" s="9" t="s">
        <v>27</v>
      </c>
      <c r="I33">
        <v>2.8450000000000002</v>
      </c>
      <c r="L33">
        <v>26</v>
      </c>
      <c r="M33">
        <v>0.96020000000000005</v>
      </c>
    </row>
    <row r="34" spans="1:13" x14ac:dyDescent="0.25">
      <c r="A34" s="8" t="s">
        <v>40</v>
      </c>
      <c r="B34" s="20">
        <f>B32-B33</f>
        <v>59.7</v>
      </c>
      <c r="C34" s="9" t="s">
        <v>27</v>
      </c>
      <c r="E34" s="14">
        <f>B34</f>
        <v>59.7</v>
      </c>
      <c r="F34" t="s">
        <v>27</v>
      </c>
      <c r="I34">
        <v>2257</v>
      </c>
      <c r="L34">
        <v>27</v>
      </c>
      <c r="M34">
        <v>0.95867000000000002</v>
      </c>
    </row>
    <row r="35" spans="1:13" x14ac:dyDescent="0.25">
      <c r="A35" s="8" t="s">
        <v>54</v>
      </c>
      <c r="B35" s="10">
        <f>B13</f>
        <v>2.5</v>
      </c>
      <c r="C35" s="9" t="s">
        <v>23</v>
      </c>
      <c r="E35" s="14">
        <f>B35*60</f>
        <v>150</v>
      </c>
      <c r="F35" t="s">
        <v>56</v>
      </c>
      <c r="I35">
        <v>841</v>
      </c>
      <c r="L35">
        <v>28</v>
      </c>
      <c r="M35">
        <v>0.95709999999999995</v>
      </c>
    </row>
    <row r="36" spans="1:13" x14ac:dyDescent="0.25">
      <c r="A36" s="8" t="s">
        <v>68</v>
      </c>
      <c r="B36" s="10">
        <f>B35*1</f>
        <v>2.5</v>
      </c>
      <c r="C36" s="9" t="s">
        <v>48</v>
      </c>
      <c r="E36" s="14">
        <f t="shared" ref="E36:E42" si="1">B36*60</f>
        <v>150</v>
      </c>
      <c r="F36" t="s">
        <v>57</v>
      </c>
      <c r="L36">
        <v>29</v>
      </c>
      <c r="M36">
        <v>0.95548</v>
      </c>
    </row>
    <row r="37" spans="1:13" x14ac:dyDescent="0.25">
      <c r="A37" s="8" t="s">
        <v>72</v>
      </c>
      <c r="B37" s="11">
        <f>ROUND(B34*B36*B16,2)</f>
        <v>482.57</v>
      </c>
      <c r="C37" s="9" t="s">
        <v>11</v>
      </c>
      <c r="E37" s="14">
        <f t="shared" si="1"/>
        <v>28954.2</v>
      </c>
      <c r="F37" t="s">
        <v>58</v>
      </c>
      <c r="L37">
        <v>30</v>
      </c>
      <c r="M37">
        <v>0.95382</v>
      </c>
    </row>
    <row r="38" spans="1:13" x14ac:dyDescent="0.25">
      <c r="A38" s="8" t="s">
        <v>73</v>
      </c>
      <c r="B38" s="11">
        <f>ROUND(B36*B17,2)</f>
        <v>3129.1</v>
      </c>
      <c r="C38" s="9" t="s">
        <v>11</v>
      </c>
      <c r="E38" s="14">
        <f>B38*60</f>
        <v>187746</v>
      </c>
      <c r="F38" t="s">
        <v>58</v>
      </c>
      <c r="H38">
        <f>E38*0.00002831722083468</f>
        <v>5.3164449428278315</v>
      </c>
      <c r="I38">
        <v>1</v>
      </c>
      <c r="L38">
        <v>31</v>
      </c>
      <c r="M38">
        <v>0.95211999999999997</v>
      </c>
    </row>
    <row r="39" spans="1:13" x14ac:dyDescent="0.25">
      <c r="A39" s="8" t="s">
        <v>75</v>
      </c>
      <c r="B39" s="11">
        <f>B38+B37</f>
        <v>3611.67</v>
      </c>
      <c r="C39" s="9" t="s">
        <v>11</v>
      </c>
      <c r="E39" s="14">
        <f t="shared" si="1"/>
        <v>216700.2</v>
      </c>
      <c r="F39" t="s">
        <v>58</v>
      </c>
      <c r="H39">
        <f>E39*0.00002831722083468</f>
        <v>6.136347418319323</v>
      </c>
      <c r="I39">
        <v>0.79074</v>
      </c>
      <c r="L39">
        <v>32</v>
      </c>
      <c r="M39">
        <v>0.95038</v>
      </c>
    </row>
    <row r="40" spans="1:13" x14ac:dyDescent="0.25">
      <c r="A40" s="8" t="s">
        <v>55</v>
      </c>
      <c r="B40" s="11">
        <f>ROUND(B39*B31/100,2)</f>
        <v>1805.84</v>
      </c>
      <c r="C40" s="9" t="s">
        <v>11</v>
      </c>
      <c r="E40" s="14">
        <f>B40*60</f>
        <v>108350.39999999999</v>
      </c>
      <c r="F40" t="s">
        <v>58</v>
      </c>
      <c r="H40" t="s">
        <v>8</v>
      </c>
      <c r="L40">
        <v>33</v>
      </c>
      <c r="M40">
        <v>0.9486</v>
      </c>
    </row>
    <row r="41" spans="1:13" x14ac:dyDescent="0.25">
      <c r="A41" s="8" t="s">
        <v>76</v>
      </c>
      <c r="B41" s="10">
        <f>B5-B57</f>
        <v>12</v>
      </c>
      <c r="C41" s="9" t="s">
        <v>20</v>
      </c>
      <c r="E41" s="14">
        <f t="shared" si="1"/>
        <v>720</v>
      </c>
      <c r="F41" t="s">
        <v>21</v>
      </c>
      <c r="H41" t="s">
        <v>69</v>
      </c>
      <c r="L41">
        <v>34</v>
      </c>
      <c r="M41">
        <v>0.94679000000000002</v>
      </c>
    </row>
    <row r="42" spans="1:13" x14ac:dyDescent="0.25">
      <c r="A42" s="8" t="s">
        <v>78</v>
      </c>
      <c r="B42" s="11">
        <f>ROUND(B41*((B6/100)*$I$39+(1-B6/100)*$I$38),2)</f>
        <v>11.82</v>
      </c>
      <c r="C42" s="9" t="s">
        <v>48</v>
      </c>
      <c r="E42" s="14">
        <f t="shared" si="1"/>
        <v>709.2</v>
      </c>
      <c r="F42" t="s">
        <v>57</v>
      </c>
      <c r="H42" t="s">
        <v>70</v>
      </c>
      <c r="L42">
        <v>35</v>
      </c>
      <c r="M42">
        <v>0.94494</v>
      </c>
    </row>
    <row r="43" spans="1:13" x14ac:dyDescent="0.25">
      <c r="A43" s="8" t="s">
        <v>61</v>
      </c>
      <c r="B43" s="20">
        <f>B9</f>
        <v>25</v>
      </c>
      <c r="C43" s="9" t="s">
        <v>27</v>
      </c>
      <c r="E43" s="14">
        <f>B43</f>
        <v>25</v>
      </c>
      <c r="F43" t="s">
        <v>27</v>
      </c>
      <c r="L43">
        <v>36</v>
      </c>
      <c r="M43">
        <v>0.94306000000000001</v>
      </c>
    </row>
    <row r="44" spans="1:13" x14ac:dyDescent="0.25">
      <c r="A44" s="8" t="s">
        <v>62</v>
      </c>
      <c r="B44" s="20">
        <f>IF((B59+(B40/B41/B8))&lt;100,(B59+(B40/B41/B8)),100)</f>
        <v>61.79137726034385</v>
      </c>
      <c r="C44" s="9" t="s">
        <v>27</v>
      </c>
      <c r="L44">
        <v>37</v>
      </c>
      <c r="M44">
        <v>0.94113999999999998</v>
      </c>
    </row>
    <row r="45" spans="1:13" ht="15.75" thickBot="1" x14ac:dyDescent="0.3">
      <c r="A45" s="12" t="s">
        <v>83</v>
      </c>
      <c r="B45" s="17">
        <f>IF((B59+(B40/B41/B8))&gt;100,(B59+(B40/B41/B8)-100)*B16/B17*100,0)</f>
        <v>0</v>
      </c>
      <c r="C45" s="13" t="s">
        <v>39</v>
      </c>
      <c r="I45" t="s">
        <v>65</v>
      </c>
      <c r="J45" t="s">
        <v>66</v>
      </c>
      <c r="K45" t="s">
        <v>67</v>
      </c>
      <c r="L45">
        <v>38</v>
      </c>
      <c r="M45">
        <v>0.93918999999999997</v>
      </c>
    </row>
    <row r="46" spans="1:13" x14ac:dyDescent="0.25">
      <c r="I46" s="18">
        <v>0</v>
      </c>
      <c r="J46" s="18">
        <v>100</v>
      </c>
      <c r="K46" s="18">
        <v>100</v>
      </c>
      <c r="L46">
        <v>39</v>
      </c>
      <c r="M46">
        <v>0.93720000000000003</v>
      </c>
    </row>
    <row r="47" spans="1:13" ht="15.75" thickBot="1" x14ac:dyDescent="0.3">
      <c r="I47" s="18">
        <v>10</v>
      </c>
      <c r="J47" s="18">
        <v>90</v>
      </c>
      <c r="K47" s="18">
        <v>99</v>
      </c>
      <c r="L47">
        <v>40</v>
      </c>
      <c r="M47">
        <v>0.93518000000000001</v>
      </c>
    </row>
    <row r="48" spans="1:13" ht="15.75" thickBot="1" x14ac:dyDescent="0.3">
      <c r="A48" s="5" t="s">
        <v>49</v>
      </c>
      <c r="B48" s="6"/>
      <c r="C48" s="7"/>
      <c r="I48" s="18">
        <v>20</v>
      </c>
      <c r="J48" s="18">
        <v>80</v>
      </c>
      <c r="K48" s="18">
        <v>98</v>
      </c>
      <c r="L48">
        <v>41</v>
      </c>
      <c r="M48">
        <v>0.93313999999999997</v>
      </c>
    </row>
    <row r="49" spans="1:13" ht="15.75" thickBot="1" x14ac:dyDescent="0.3">
      <c r="A49" s="8" t="s">
        <v>38</v>
      </c>
      <c r="B49" s="1">
        <v>50</v>
      </c>
      <c r="C49" s="9" t="s">
        <v>39</v>
      </c>
      <c r="I49" s="18">
        <v>30</v>
      </c>
      <c r="J49" s="18">
        <v>70</v>
      </c>
      <c r="K49" s="18">
        <v>96</v>
      </c>
      <c r="L49">
        <v>42</v>
      </c>
      <c r="M49">
        <v>0.93106999999999995</v>
      </c>
    </row>
    <row r="50" spans="1:13" x14ac:dyDescent="0.25">
      <c r="A50" s="8" t="s">
        <v>59</v>
      </c>
      <c r="B50" s="20">
        <f>B23</f>
        <v>99.99</v>
      </c>
      <c r="C50" s="9" t="s">
        <v>27</v>
      </c>
      <c r="I50" s="18">
        <v>40</v>
      </c>
      <c r="J50" s="18">
        <v>60</v>
      </c>
      <c r="K50" s="18">
        <v>94</v>
      </c>
      <c r="L50">
        <v>43</v>
      </c>
      <c r="M50">
        <v>0.92896999999999996</v>
      </c>
    </row>
    <row r="51" spans="1:13" x14ac:dyDescent="0.25">
      <c r="A51" s="8" t="s">
        <v>60</v>
      </c>
      <c r="B51" s="20">
        <f>B26</f>
        <v>40</v>
      </c>
      <c r="C51" s="9" t="s">
        <v>27</v>
      </c>
      <c r="I51" s="18">
        <v>50</v>
      </c>
      <c r="J51" s="18">
        <v>50</v>
      </c>
      <c r="K51" s="18">
        <v>92</v>
      </c>
      <c r="L51">
        <v>44</v>
      </c>
      <c r="M51">
        <v>0.92684999999999995</v>
      </c>
    </row>
    <row r="52" spans="1:13" x14ac:dyDescent="0.25">
      <c r="A52" s="8" t="s">
        <v>40</v>
      </c>
      <c r="B52" s="20">
        <f>B50-B51</f>
        <v>59.989999999999995</v>
      </c>
      <c r="C52" s="9" t="s">
        <v>27</v>
      </c>
      <c r="F52" t="s">
        <v>27</v>
      </c>
      <c r="I52" s="18">
        <v>60</v>
      </c>
      <c r="J52" s="18">
        <v>40</v>
      </c>
      <c r="K52" s="18">
        <v>90</v>
      </c>
      <c r="L52">
        <v>45</v>
      </c>
      <c r="M52">
        <v>0.92471999999999999</v>
      </c>
    </row>
    <row r="53" spans="1:13" x14ac:dyDescent="0.25">
      <c r="A53" s="8" t="s">
        <v>42</v>
      </c>
      <c r="B53" s="10">
        <f>B21</f>
        <v>17.5</v>
      </c>
      <c r="C53" s="9" t="s">
        <v>23</v>
      </c>
      <c r="E53" s="14">
        <f t="shared" ref="E53:E58" si="2">B53*60</f>
        <v>1050</v>
      </c>
      <c r="F53" t="s">
        <v>56</v>
      </c>
      <c r="I53" s="18">
        <v>70</v>
      </c>
      <c r="J53" s="18">
        <v>30</v>
      </c>
      <c r="K53" s="18">
        <v>85</v>
      </c>
      <c r="L53">
        <v>46</v>
      </c>
      <c r="M53">
        <v>0.92257</v>
      </c>
    </row>
    <row r="54" spans="1:13" x14ac:dyDescent="0.25">
      <c r="A54" s="8" t="s">
        <v>68</v>
      </c>
      <c r="B54" s="10">
        <f>B53*1</f>
        <v>17.5</v>
      </c>
      <c r="C54" s="9" t="s">
        <v>48</v>
      </c>
      <c r="E54" s="14">
        <f t="shared" si="2"/>
        <v>1050</v>
      </c>
      <c r="F54" t="s">
        <v>57</v>
      </c>
      <c r="I54" s="18">
        <v>80</v>
      </c>
      <c r="J54" s="18">
        <v>20</v>
      </c>
      <c r="K54" s="18">
        <v>82</v>
      </c>
      <c r="L54">
        <v>47</v>
      </c>
      <c r="M54">
        <v>0.92040999999999995</v>
      </c>
    </row>
    <row r="55" spans="1:13" x14ac:dyDescent="0.25">
      <c r="A55" s="8" t="s">
        <v>47</v>
      </c>
      <c r="B55" s="10">
        <f>B54*B52*$B$24</f>
        <v>4391.062084324999</v>
      </c>
      <c r="C55" s="9" t="s">
        <v>11</v>
      </c>
      <c r="E55" s="14">
        <f t="shared" si="2"/>
        <v>263463.72505949996</v>
      </c>
      <c r="F55" t="s">
        <v>58</v>
      </c>
      <c r="I55" s="18">
        <v>90</v>
      </c>
      <c r="J55" s="18">
        <v>10</v>
      </c>
      <c r="K55" s="18">
        <v>79</v>
      </c>
      <c r="L55">
        <v>48</v>
      </c>
      <c r="M55">
        <v>0.91822999999999999</v>
      </c>
    </row>
    <row r="56" spans="1:13" ht="15.75" thickBot="1" x14ac:dyDescent="0.3">
      <c r="A56" s="8" t="s">
        <v>55</v>
      </c>
      <c r="B56" s="10">
        <f>B55*B49/100</f>
        <v>2195.5310421624995</v>
      </c>
      <c r="C56" s="9" t="s">
        <v>11</v>
      </c>
      <c r="E56" s="14">
        <f t="shared" si="2"/>
        <v>131731.86252974998</v>
      </c>
      <c r="F56" t="s">
        <v>58</v>
      </c>
      <c r="I56" s="18">
        <v>100</v>
      </c>
      <c r="J56" s="18">
        <v>0</v>
      </c>
      <c r="K56" s="18">
        <v>78</v>
      </c>
      <c r="L56">
        <v>49</v>
      </c>
      <c r="M56">
        <v>0.91603999999999997</v>
      </c>
    </row>
    <row r="57" spans="1:13" ht="15.75" thickBot="1" x14ac:dyDescent="0.3">
      <c r="A57" s="8" t="s">
        <v>76</v>
      </c>
      <c r="B57" s="2">
        <v>8</v>
      </c>
      <c r="C57" s="9" t="s">
        <v>20</v>
      </c>
      <c r="E57" s="14">
        <f t="shared" si="2"/>
        <v>480</v>
      </c>
      <c r="F57" t="s">
        <v>21</v>
      </c>
      <c r="L57">
        <v>50</v>
      </c>
      <c r="M57">
        <v>0.91383999999999999</v>
      </c>
    </row>
    <row r="58" spans="1:13" x14ac:dyDescent="0.25">
      <c r="A58" s="8" t="s">
        <v>77</v>
      </c>
      <c r="B58" s="10">
        <f>B57*((B6/100)*$I$39+(1-B6/100)*$I$38)</f>
        <v>7.8828143999999991</v>
      </c>
      <c r="C58" s="9" t="s">
        <v>48</v>
      </c>
      <c r="E58" s="14">
        <f t="shared" si="2"/>
        <v>472.96886399999994</v>
      </c>
      <c r="F58" t="s">
        <v>57</v>
      </c>
      <c r="L58">
        <v>51</v>
      </c>
      <c r="M58">
        <v>0.91159999999999997</v>
      </c>
    </row>
    <row r="59" spans="1:13" x14ac:dyDescent="0.25">
      <c r="A59" s="8" t="s">
        <v>61</v>
      </c>
      <c r="B59" s="20">
        <f>B9</f>
        <v>25</v>
      </c>
      <c r="C59" s="9" t="s">
        <v>27</v>
      </c>
      <c r="L59">
        <v>52</v>
      </c>
      <c r="M59">
        <v>0.90935999999999995</v>
      </c>
    </row>
    <row r="60" spans="1:13" x14ac:dyDescent="0.25">
      <c r="A60" s="8" t="s">
        <v>62</v>
      </c>
      <c r="B60" s="20">
        <f>IF((B59+(B56/B58/B8))&lt;100,(B59+(B56/B58/B8)),100)</f>
        <v>93.093601333870254</v>
      </c>
      <c r="C60" s="9" t="s">
        <v>27</v>
      </c>
      <c r="L60">
        <v>53</v>
      </c>
      <c r="M60">
        <v>0.90710999999999997</v>
      </c>
    </row>
    <row r="61" spans="1:13" ht="15.75" thickBot="1" x14ac:dyDescent="0.3">
      <c r="A61" s="12" t="s">
        <v>83</v>
      </c>
      <c r="B61" s="17">
        <f>IF((B59+(B56/B58/B8))&gt;100,(B59+(B56/B58/B8)-100)*B16/B17*100,0)</f>
        <v>0</v>
      </c>
      <c r="C61" s="13" t="s">
        <v>39</v>
      </c>
      <c r="L61">
        <v>54</v>
      </c>
      <c r="M61">
        <v>0.90485000000000004</v>
      </c>
    </row>
    <row r="62" spans="1:13" x14ac:dyDescent="0.25">
      <c r="L62">
        <v>55</v>
      </c>
      <c r="M62">
        <v>0.90258000000000005</v>
      </c>
    </row>
    <row r="63" spans="1:13" x14ac:dyDescent="0.25">
      <c r="L63">
        <v>56</v>
      </c>
      <c r="M63">
        <v>0.90031000000000005</v>
      </c>
    </row>
    <row r="64" spans="1:13" x14ac:dyDescent="0.25">
      <c r="L64">
        <v>57</v>
      </c>
      <c r="M64">
        <v>0.89802999999999999</v>
      </c>
    </row>
    <row r="65" spans="12:13" x14ac:dyDescent="0.25">
      <c r="L65">
        <v>58</v>
      </c>
      <c r="M65">
        <v>0.89573999999999998</v>
      </c>
    </row>
    <row r="66" spans="12:13" x14ac:dyDescent="0.25">
      <c r="L66">
        <v>59</v>
      </c>
      <c r="M66">
        <v>0.89344000000000001</v>
      </c>
    </row>
    <row r="67" spans="12:13" x14ac:dyDescent="0.25">
      <c r="L67">
        <v>60</v>
      </c>
      <c r="M67">
        <v>0.89112999999999998</v>
      </c>
    </row>
    <row r="68" spans="12:13" x14ac:dyDescent="0.25">
      <c r="L68">
        <v>61</v>
      </c>
      <c r="M68">
        <v>0.88882000000000005</v>
      </c>
    </row>
    <row r="69" spans="12:13" x14ac:dyDescent="0.25">
      <c r="L69">
        <v>62</v>
      </c>
      <c r="M69">
        <v>0.88649999999999995</v>
      </c>
    </row>
    <row r="70" spans="12:13" x14ac:dyDescent="0.25">
      <c r="L70">
        <v>63</v>
      </c>
      <c r="M70">
        <v>0.88417000000000001</v>
      </c>
    </row>
    <row r="71" spans="12:13" x14ac:dyDescent="0.25">
      <c r="L71">
        <v>64</v>
      </c>
      <c r="M71">
        <v>0.88183</v>
      </c>
    </row>
    <row r="72" spans="12:13" x14ac:dyDescent="0.25">
      <c r="L72">
        <v>65</v>
      </c>
      <c r="M72">
        <v>0.87948000000000004</v>
      </c>
    </row>
    <row r="73" spans="12:13" x14ac:dyDescent="0.25">
      <c r="L73">
        <v>66</v>
      </c>
      <c r="M73">
        <v>0.87712999999999997</v>
      </c>
    </row>
    <row r="74" spans="12:13" x14ac:dyDescent="0.25">
      <c r="L74">
        <v>67</v>
      </c>
      <c r="M74">
        <v>0.87477000000000005</v>
      </c>
    </row>
    <row r="75" spans="12:13" x14ac:dyDescent="0.25">
      <c r="L75">
        <v>68</v>
      </c>
      <c r="M75">
        <v>0.87241000000000002</v>
      </c>
    </row>
    <row r="76" spans="12:13" x14ac:dyDescent="0.25">
      <c r="L76">
        <v>69</v>
      </c>
      <c r="M76">
        <v>0.87004000000000004</v>
      </c>
    </row>
    <row r="77" spans="12:13" x14ac:dyDescent="0.25">
      <c r="L77">
        <v>70</v>
      </c>
      <c r="M77">
        <v>0.86765999999999999</v>
      </c>
    </row>
    <row r="78" spans="12:13" x14ac:dyDescent="0.25">
      <c r="L78">
        <v>71</v>
      </c>
      <c r="M78">
        <v>0.86526999999999998</v>
      </c>
    </row>
    <row r="79" spans="12:13" x14ac:dyDescent="0.25">
      <c r="L79">
        <v>72</v>
      </c>
      <c r="M79">
        <v>0.86287000000000003</v>
      </c>
    </row>
    <row r="80" spans="12:13" x14ac:dyDescent="0.25">
      <c r="L80">
        <v>73</v>
      </c>
      <c r="M80">
        <v>0.86046999999999996</v>
      </c>
    </row>
    <row r="81" spans="12:13" x14ac:dyDescent="0.25">
      <c r="L81">
        <v>74</v>
      </c>
      <c r="M81">
        <v>0.85806000000000004</v>
      </c>
    </row>
    <row r="82" spans="12:13" x14ac:dyDescent="0.25">
      <c r="L82">
        <v>75</v>
      </c>
      <c r="M82">
        <v>0.85563999999999996</v>
      </c>
    </row>
    <row r="83" spans="12:13" x14ac:dyDescent="0.25">
      <c r="L83">
        <v>76</v>
      </c>
      <c r="M83">
        <v>0.85321999999999998</v>
      </c>
    </row>
    <row r="84" spans="12:13" x14ac:dyDescent="0.25">
      <c r="L84">
        <v>77</v>
      </c>
      <c r="M84">
        <v>0.85079000000000005</v>
      </c>
    </row>
    <row r="85" spans="12:13" x14ac:dyDescent="0.25">
      <c r="L85">
        <v>78</v>
      </c>
      <c r="M85">
        <v>0.84835000000000005</v>
      </c>
    </row>
    <row r="86" spans="12:13" x14ac:dyDescent="0.25">
      <c r="L86">
        <v>79</v>
      </c>
      <c r="M86">
        <v>0.84589999999999999</v>
      </c>
    </row>
    <row r="87" spans="12:13" x14ac:dyDescent="0.25">
      <c r="L87">
        <v>80</v>
      </c>
      <c r="M87">
        <v>0.84343999999999997</v>
      </c>
    </row>
    <row r="88" spans="12:13" x14ac:dyDescent="0.25">
      <c r="L88">
        <v>81</v>
      </c>
      <c r="M88">
        <v>0.84096000000000004</v>
      </c>
    </row>
    <row r="89" spans="12:13" x14ac:dyDescent="0.25">
      <c r="L89">
        <v>82</v>
      </c>
      <c r="M89">
        <v>0.83848</v>
      </c>
    </row>
    <row r="90" spans="12:13" x14ac:dyDescent="0.25">
      <c r="L90">
        <v>83</v>
      </c>
      <c r="M90">
        <v>0.83599000000000001</v>
      </c>
    </row>
    <row r="91" spans="12:13" x14ac:dyDescent="0.25">
      <c r="L91">
        <v>84</v>
      </c>
      <c r="M91">
        <v>0.83348</v>
      </c>
    </row>
    <row r="92" spans="12:13" x14ac:dyDescent="0.25">
      <c r="L92">
        <v>85</v>
      </c>
      <c r="M92">
        <v>0.83094999999999997</v>
      </c>
    </row>
    <row r="93" spans="12:13" x14ac:dyDescent="0.25">
      <c r="L93">
        <v>86</v>
      </c>
      <c r="M93">
        <v>0.82840000000000003</v>
      </c>
    </row>
    <row r="94" spans="12:13" x14ac:dyDescent="0.25">
      <c r="L94">
        <v>87</v>
      </c>
      <c r="M94">
        <v>0.82582999999999995</v>
      </c>
    </row>
    <row r="95" spans="12:13" x14ac:dyDescent="0.25">
      <c r="L95">
        <v>88</v>
      </c>
      <c r="M95">
        <v>0.82323000000000002</v>
      </c>
    </row>
    <row r="96" spans="12:13" x14ac:dyDescent="0.25">
      <c r="L96">
        <v>89</v>
      </c>
      <c r="M96">
        <v>0.82062000000000002</v>
      </c>
    </row>
    <row r="97" spans="12:13" x14ac:dyDescent="0.25">
      <c r="L97">
        <v>90</v>
      </c>
      <c r="M97">
        <v>0.81796999999999997</v>
      </c>
    </row>
    <row r="98" spans="12:13" x14ac:dyDescent="0.25">
      <c r="L98">
        <v>91</v>
      </c>
      <c r="M98">
        <v>0.81528999999999996</v>
      </c>
    </row>
    <row r="99" spans="12:13" x14ac:dyDescent="0.25">
      <c r="L99">
        <v>92</v>
      </c>
      <c r="M99">
        <v>0.81257000000000001</v>
      </c>
    </row>
    <row r="100" spans="12:13" x14ac:dyDescent="0.25">
      <c r="L100">
        <v>93</v>
      </c>
      <c r="M100">
        <v>0.80983000000000005</v>
      </c>
    </row>
    <row r="101" spans="12:13" x14ac:dyDescent="0.25">
      <c r="L101">
        <v>94</v>
      </c>
      <c r="M101">
        <v>0.80705000000000005</v>
      </c>
    </row>
    <row r="102" spans="12:13" x14ac:dyDescent="0.25">
      <c r="L102">
        <v>95</v>
      </c>
      <c r="M102">
        <v>0.80423999999999995</v>
      </c>
    </row>
    <row r="103" spans="12:13" x14ac:dyDescent="0.25">
      <c r="L103">
        <v>96</v>
      </c>
      <c r="M103">
        <v>0.80137999999999998</v>
      </c>
    </row>
    <row r="104" spans="12:13" x14ac:dyDescent="0.25">
      <c r="L104">
        <v>97</v>
      </c>
      <c r="M104">
        <v>0.79845999999999995</v>
      </c>
    </row>
    <row r="105" spans="12:13" x14ac:dyDescent="0.25">
      <c r="L105">
        <v>98</v>
      </c>
      <c r="M105">
        <v>0.79547000000000001</v>
      </c>
    </row>
    <row r="106" spans="12:13" x14ac:dyDescent="0.25">
      <c r="L106">
        <v>99</v>
      </c>
      <c r="M106">
        <v>0.79242999999999997</v>
      </c>
    </row>
    <row r="107" spans="12:13" x14ac:dyDescent="0.25">
      <c r="L107">
        <v>100</v>
      </c>
      <c r="M107">
        <v>0.78934000000000004</v>
      </c>
    </row>
  </sheetData>
  <sortState ref="I46:K56">
    <sortCondition ref="I4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3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reflux still</vt:lpstr>
      <vt:lpstr>continuous still</vt:lpstr>
      <vt:lpstr>Sheet1</vt:lpstr>
      <vt:lpstr>'reflux still'!Print_Area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mcotherman</dc:creator>
  <cp:lastModifiedBy>mcotherman</cp:lastModifiedBy>
  <cp:lastPrinted>2014-10-23T14:39:16Z</cp:lastPrinted>
  <dcterms:created xsi:type="dcterms:W3CDTF">2014-10-23T13:09:27Z</dcterms:created>
  <dcterms:modified xsi:type="dcterms:W3CDTF">2019-04-16T00:51:33Z</dcterms:modified>
</cp:coreProperties>
</file>